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adjoint administratif" sheetId="1" r:id="rId1"/>
    <sheet name="secrétaire administratif" sheetId="2" r:id="rId2"/>
    <sheet name="attaché" sheetId="3" r:id="rId3"/>
  </sheets>
  <definedNames/>
  <calcPr fullCalcOnLoad="1"/>
</workbook>
</file>

<file path=xl/sharedStrings.xml><?xml version="1.0" encoding="utf-8"?>
<sst xmlns="http://schemas.openxmlformats.org/spreadsheetml/2006/main" count="328" uniqueCount="78">
  <si>
    <t xml:space="preserve">grade </t>
  </si>
  <si>
    <t xml:space="preserve">échelon </t>
  </si>
  <si>
    <t>durée à accomplir pour passer à l’échelon supérieur</t>
  </si>
  <si>
    <t xml:space="preserve">Indices bruts </t>
  </si>
  <si>
    <t xml:space="preserve">indices majorés </t>
  </si>
  <si>
    <t>Calcul de la retraite</t>
  </si>
  <si>
    <t>indice sur les 6 derniers mois</t>
  </si>
  <si>
    <t>indice moyen sur 3 ans</t>
  </si>
  <si>
    <t>indice moyen sur 5 ans</t>
  </si>
  <si>
    <t>indice moyen sur 10 ans</t>
  </si>
  <si>
    <t>indice moyen sur 25 ans</t>
  </si>
  <si>
    <t>adjoint administratif principal de 1ère classe (E6 adm.)</t>
  </si>
  <si>
    <t xml:space="preserve">7ème </t>
  </si>
  <si>
    <t xml:space="preserve">- </t>
  </si>
  <si>
    <t xml:space="preserve">6ème </t>
  </si>
  <si>
    <t xml:space="preserve">4 ans </t>
  </si>
  <si>
    <t>Perte en %</t>
  </si>
  <si>
    <t xml:space="preserve">5ème </t>
  </si>
  <si>
    <t xml:space="preserve">3 ans </t>
  </si>
  <si>
    <t>Perte mensuelle en euros</t>
  </si>
  <si>
    <t xml:space="preserve">4ème </t>
  </si>
  <si>
    <t xml:space="preserve">3ème </t>
  </si>
  <si>
    <t xml:space="preserve">2ème </t>
  </si>
  <si>
    <t xml:space="preserve">2 ans </t>
  </si>
  <si>
    <t xml:space="preserve">1er </t>
  </si>
  <si>
    <t xml:space="preserve">adjoint administratif principal de 2ème classe (E5) </t>
  </si>
  <si>
    <t xml:space="preserve">11ème </t>
  </si>
  <si>
    <t xml:space="preserve">10ème </t>
  </si>
  <si>
    <t xml:space="preserve">9ème </t>
  </si>
  <si>
    <t xml:space="preserve">8ème </t>
  </si>
  <si>
    <t xml:space="preserve">1 an </t>
  </si>
  <si>
    <t xml:space="preserve">secrétaire administratif de classe exceptionnelle </t>
  </si>
  <si>
    <t xml:space="preserve">2 ans 6 mois </t>
  </si>
  <si>
    <t xml:space="preserve">secrétaire administratif de classe supérieure </t>
  </si>
  <si>
    <t xml:space="preserve">1 an 6 mois </t>
  </si>
  <si>
    <t xml:space="preserve">secrétaire administratif de classe normale </t>
  </si>
  <si>
    <t xml:space="preserve">13ème </t>
  </si>
  <si>
    <t xml:space="preserve">12ème </t>
  </si>
  <si>
    <t>1a</t>
  </si>
  <si>
    <t>2a</t>
  </si>
  <si>
    <t>4a</t>
  </si>
  <si>
    <t>3a</t>
  </si>
  <si>
    <t>2,5a</t>
  </si>
  <si>
    <t>grade et classe</t>
  </si>
  <si>
    <t>échelon</t>
  </si>
  <si>
    <t>Indices bruts</t>
  </si>
  <si>
    <t>indices majorés</t>
  </si>
  <si>
    <t>attaché principal</t>
  </si>
  <si>
    <t>10ème</t>
  </si>
  <si>
    <t>-</t>
  </si>
  <si>
    <t>9ème</t>
  </si>
  <si>
    <t>3 ans</t>
  </si>
  <si>
    <t>8ème</t>
  </si>
  <si>
    <t>2 ans 6 mois</t>
  </si>
  <si>
    <t>7ème</t>
  </si>
  <si>
    <t>6ème</t>
  </si>
  <si>
    <t>2 ans</t>
  </si>
  <si>
    <t>5ème</t>
  </si>
  <si>
    <t>4ème</t>
  </si>
  <si>
    <t>3ème</t>
  </si>
  <si>
    <t>2ème</t>
  </si>
  <si>
    <t>1er</t>
  </si>
  <si>
    <t>1 ans</t>
  </si>
  <si>
    <t>attaché</t>
  </si>
  <si>
    <t>12ème</t>
  </si>
  <si>
    <t>11ème</t>
  </si>
  <si>
    <t>4 ans</t>
  </si>
  <si>
    <t>1 an</t>
  </si>
  <si>
    <t>1,5a</t>
  </si>
  <si>
    <t>SECRETAIRES ADMINISTRATIFS</t>
  </si>
  <si>
    <t>ADJOINTS ADMINISTRATIFS</t>
  </si>
  <si>
    <t>ATTACHES D'ADMINISTRATION</t>
  </si>
  <si>
    <t>Carrière 1 = Echelon terminal la dernière année</t>
  </si>
  <si>
    <t>Carrière 3 = Echelon terminal pendant les 4 dernières années</t>
  </si>
  <si>
    <t>carrière 1</t>
  </si>
  <si>
    <t xml:space="preserve"> carrière 2</t>
  </si>
  <si>
    <t>carrière 3</t>
  </si>
  <si>
    <t>Carrière 2 = L'avant dernier échelon pendant les 2 dernières années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</si>
</sst>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Font="1" applyBorder="1" applyAlignment="1">
      <alignment wrapText="1"/>
    </xf>
    <xf numFmtId="1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textRotation="255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123825</xdr:rowOff>
    </xdr:to>
    <xdr:pic>
      <xdr:nvPicPr>
        <xdr:cNvPr id="1" name="Picture 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6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123825</xdr:rowOff>
    </xdr:to>
    <xdr:pic>
      <xdr:nvPicPr>
        <xdr:cNvPr id="1" name="Picture 1" descr="-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62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PageLayoutView="0" workbookViewId="0" topLeftCell="A1">
      <selection activeCell="K8" sqref="K8"/>
    </sheetView>
  </sheetViews>
  <sheetFormatPr defaultColWidth="11.57421875" defaultRowHeight="12.75"/>
  <cols>
    <col min="1" max="1" width="24.28125" style="0" customWidth="1"/>
    <col min="2" max="5" width="11.57421875" style="0" customWidth="1"/>
    <col min="6" max="6" width="2.7109375" style="0" customWidth="1"/>
    <col min="7" max="9" width="3.7109375" style="0" customWidth="1"/>
    <col min="10" max="10" width="2.7109375" style="0" customWidth="1"/>
  </cols>
  <sheetData>
    <row r="1" ht="12.75">
      <c r="A1" s="1" t="s">
        <v>70</v>
      </c>
    </row>
    <row r="2" spans="1:16" s="5" customFormat="1" ht="63.75">
      <c r="A2" s="7" t="s">
        <v>0</v>
      </c>
      <c r="B2" s="7" t="s">
        <v>1</v>
      </c>
      <c r="C2" s="18" t="s">
        <v>2</v>
      </c>
      <c r="D2" s="7" t="s">
        <v>3</v>
      </c>
      <c r="E2" s="7" t="s">
        <v>4</v>
      </c>
      <c r="F2" s="4"/>
      <c r="G2" s="21" t="s">
        <v>74</v>
      </c>
      <c r="H2" s="21" t="s">
        <v>75</v>
      </c>
      <c r="I2" s="21" t="s">
        <v>76</v>
      </c>
      <c r="J2" s="20"/>
      <c r="K2" s="1" t="s">
        <v>72</v>
      </c>
      <c r="L2"/>
      <c r="M2"/>
      <c r="N2"/>
      <c r="O2"/>
      <c r="P2"/>
    </row>
    <row r="3" spans="1:16" ht="51">
      <c r="A3" s="11" t="s">
        <v>11</v>
      </c>
      <c r="B3" s="11" t="s">
        <v>12</v>
      </c>
      <c r="C3" s="11" t="s">
        <v>13</v>
      </c>
      <c r="D3" s="11">
        <v>479</v>
      </c>
      <c r="E3" s="11">
        <v>416</v>
      </c>
      <c r="F3" s="3"/>
      <c r="G3" s="6" t="s">
        <v>38</v>
      </c>
      <c r="H3" s="6"/>
      <c r="I3" s="6" t="s">
        <v>40</v>
      </c>
      <c r="J3" s="2"/>
      <c r="K3" s="13" t="s">
        <v>5</v>
      </c>
      <c r="L3" s="13" t="s">
        <v>6</v>
      </c>
      <c r="M3" s="13" t="s">
        <v>7</v>
      </c>
      <c r="N3" s="13" t="s">
        <v>8</v>
      </c>
      <c r="O3" s="13" t="s">
        <v>9</v>
      </c>
      <c r="P3" s="13" t="s">
        <v>10</v>
      </c>
    </row>
    <row r="4" spans="1:16" ht="12.75">
      <c r="A4" s="16"/>
      <c r="B4" s="11" t="s">
        <v>14</v>
      </c>
      <c r="C4" s="11" t="s">
        <v>15</v>
      </c>
      <c r="D4" s="11">
        <v>449</v>
      </c>
      <c r="E4" s="11">
        <v>394</v>
      </c>
      <c r="F4" s="3"/>
      <c r="G4" s="6" t="s">
        <v>40</v>
      </c>
      <c r="H4" s="6" t="s">
        <v>39</v>
      </c>
      <c r="I4" s="6" t="s">
        <v>40</v>
      </c>
      <c r="J4" s="2"/>
      <c r="K4" s="8"/>
      <c r="L4" s="9">
        <v>416</v>
      </c>
      <c r="M4" s="9">
        <f>(416+2*394)/3</f>
        <v>401.3333333333333</v>
      </c>
      <c r="N4" s="9">
        <f>(416+4*394)/5</f>
        <v>398.4</v>
      </c>
      <c r="O4" s="9">
        <f>(416+4*394+3*377+2*360)/10</f>
        <v>384.3</v>
      </c>
      <c r="P4" s="9">
        <f>(416+4*394+3*377+3*360+4*350+4*338+3*328+3*318)/25</f>
        <v>355.72</v>
      </c>
    </row>
    <row r="5" spans="1:16" ht="12.75">
      <c r="A5" s="16"/>
      <c r="B5" s="11" t="s">
        <v>17</v>
      </c>
      <c r="C5" s="11" t="s">
        <v>18</v>
      </c>
      <c r="D5" s="11">
        <v>424</v>
      </c>
      <c r="E5" s="11">
        <v>377</v>
      </c>
      <c r="F5" s="3"/>
      <c r="G5" s="6" t="s">
        <v>41</v>
      </c>
      <c r="H5" s="6" t="s">
        <v>41</v>
      </c>
      <c r="I5" s="6" t="s">
        <v>41</v>
      </c>
      <c r="J5" s="2"/>
      <c r="K5" s="8" t="s">
        <v>16</v>
      </c>
      <c r="L5" s="8"/>
      <c r="M5" s="10">
        <f>1-M4/$L4</f>
        <v>0.03525641025641035</v>
      </c>
      <c r="N5" s="10">
        <f>1-N4/$L4</f>
        <v>0.04230769230769238</v>
      </c>
      <c r="O5" s="10">
        <f>1-O4/$L4</f>
        <v>0.07620192307692308</v>
      </c>
      <c r="P5" s="10">
        <f>1-P4/$L4</f>
        <v>0.1449038461538461</v>
      </c>
    </row>
    <row r="6" spans="1:16" ht="38.25">
      <c r="A6" s="16"/>
      <c r="B6" s="11" t="s">
        <v>20</v>
      </c>
      <c r="C6" s="11" t="s">
        <v>18</v>
      </c>
      <c r="D6" s="11">
        <v>396</v>
      </c>
      <c r="E6" s="11">
        <v>360</v>
      </c>
      <c r="F6" s="3"/>
      <c r="G6" s="6" t="s">
        <v>41</v>
      </c>
      <c r="H6" s="6" t="s">
        <v>41</v>
      </c>
      <c r="I6" s="6" t="s">
        <v>41</v>
      </c>
      <c r="J6" s="2"/>
      <c r="K6" s="11" t="s">
        <v>19</v>
      </c>
      <c r="L6" s="8"/>
      <c r="M6" s="12">
        <f>($L4-M4)*4.607</f>
        <v>67.56933333333342</v>
      </c>
      <c r="N6" s="12">
        <f>($L4-N4)*4.607</f>
        <v>81.0832000000001</v>
      </c>
      <c r="O6" s="12">
        <f>($L4-O4)*4.607</f>
        <v>146.04189999999994</v>
      </c>
      <c r="P6" s="12">
        <f>($L4-P4)*4.607</f>
        <v>277.7099599999999</v>
      </c>
    </row>
    <row r="7" spans="1:10" ht="12.75">
      <c r="A7" s="16"/>
      <c r="B7" s="11" t="s">
        <v>21</v>
      </c>
      <c r="C7" s="11" t="s">
        <v>18</v>
      </c>
      <c r="D7" s="11">
        <v>377</v>
      </c>
      <c r="E7" s="11">
        <v>347</v>
      </c>
      <c r="F7" s="3"/>
      <c r="G7" s="6"/>
      <c r="H7" s="6"/>
      <c r="I7" s="6"/>
      <c r="J7" s="2"/>
    </row>
    <row r="8" spans="1:11" ht="12.75">
      <c r="A8" s="16"/>
      <c r="B8" s="11" t="s">
        <v>22</v>
      </c>
      <c r="C8" s="11" t="s">
        <v>23</v>
      </c>
      <c r="D8" s="11">
        <v>362</v>
      </c>
      <c r="E8" s="11">
        <v>336</v>
      </c>
      <c r="F8" s="3"/>
      <c r="G8" s="6"/>
      <c r="H8" s="6"/>
      <c r="I8" s="6"/>
      <c r="J8" s="2"/>
      <c r="K8" s="1" t="s">
        <v>77</v>
      </c>
    </row>
    <row r="9" spans="1:16" ht="51">
      <c r="A9" s="16"/>
      <c r="B9" s="11" t="s">
        <v>24</v>
      </c>
      <c r="C9" s="11" t="s">
        <v>23</v>
      </c>
      <c r="D9" s="11">
        <v>347</v>
      </c>
      <c r="E9" s="11">
        <v>325</v>
      </c>
      <c r="F9" s="3"/>
      <c r="G9" s="6"/>
      <c r="H9" s="6"/>
      <c r="I9" s="6"/>
      <c r="J9" s="2"/>
      <c r="K9" s="13" t="s">
        <v>5</v>
      </c>
      <c r="L9" s="13" t="s">
        <v>6</v>
      </c>
      <c r="M9" s="13" t="s">
        <v>7</v>
      </c>
      <c r="N9" s="13" t="s">
        <v>8</v>
      </c>
      <c r="O9" s="13" t="s">
        <v>9</v>
      </c>
      <c r="P9" s="13" t="s">
        <v>10</v>
      </c>
    </row>
    <row r="10" spans="1:16" ht="38.25">
      <c r="A10" s="11" t="s">
        <v>25</v>
      </c>
      <c r="B10" s="11" t="s">
        <v>26</v>
      </c>
      <c r="C10" s="11" t="s">
        <v>13</v>
      </c>
      <c r="D10" s="11">
        <v>446</v>
      </c>
      <c r="E10" s="11">
        <v>392</v>
      </c>
      <c r="F10" s="3"/>
      <c r="G10" s="6"/>
      <c r="H10" s="6"/>
      <c r="I10" s="6"/>
      <c r="J10" s="2"/>
      <c r="K10" s="8"/>
      <c r="L10" s="9">
        <v>394</v>
      </c>
      <c r="M10" s="9">
        <f>(2*394+377)/3</f>
        <v>388.3333333333333</v>
      </c>
      <c r="N10" s="9">
        <f>(2*394+3*377)/5</f>
        <v>383.8</v>
      </c>
      <c r="O10" s="9">
        <f>(2*394+3*377+3*360+2*350)/10</f>
        <v>369.9</v>
      </c>
      <c r="P10" s="9">
        <f>(2*394+3*377+3*360+4*350+4*338+3*328+3*318+3*308)/25</f>
        <v>344.52</v>
      </c>
    </row>
    <row r="11" spans="1:16" ht="12.75">
      <c r="A11" s="16"/>
      <c r="B11" s="11" t="s">
        <v>27</v>
      </c>
      <c r="C11" s="11" t="s">
        <v>15</v>
      </c>
      <c r="D11" s="11">
        <v>427</v>
      </c>
      <c r="E11" s="11">
        <v>379</v>
      </c>
      <c r="F11" s="3"/>
      <c r="G11" s="6"/>
      <c r="H11" s="6"/>
      <c r="I11" s="6"/>
      <c r="J11" s="2"/>
      <c r="K11" s="8" t="s">
        <v>16</v>
      </c>
      <c r="L11" s="8"/>
      <c r="M11" s="10">
        <f>1-M10/$L10</f>
        <v>0.014382402707275865</v>
      </c>
      <c r="N11" s="10">
        <f>1-N10/$L10</f>
        <v>0.025888324873096447</v>
      </c>
      <c r="O11" s="10">
        <f>1-O10/$L10</f>
        <v>0.06116751269035536</v>
      </c>
      <c r="P11" s="10">
        <f>1-P10/$L10</f>
        <v>0.1255837563451777</v>
      </c>
    </row>
    <row r="12" spans="1:16" ht="38.25">
      <c r="A12" s="16"/>
      <c r="B12" s="11" t="s">
        <v>28</v>
      </c>
      <c r="C12" s="11" t="s">
        <v>15</v>
      </c>
      <c r="D12" s="11">
        <v>398</v>
      </c>
      <c r="E12" s="11">
        <v>362</v>
      </c>
      <c r="F12" s="3"/>
      <c r="G12" s="6"/>
      <c r="H12" s="6"/>
      <c r="I12" s="6"/>
      <c r="J12" s="2"/>
      <c r="K12" s="11" t="s">
        <v>19</v>
      </c>
      <c r="L12" s="8"/>
      <c r="M12" s="12">
        <f>($L10-M10)*4.607</f>
        <v>26.10633333333342</v>
      </c>
      <c r="N12" s="12">
        <f>($L10-N10)*4.607</f>
        <v>46.99139999999995</v>
      </c>
      <c r="O12" s="12">
        <f>($L10-O10)*4.607</f>
        <v>111.02870000000011</v>
      </c>
      <c r="P12" s="12">
        <f>($L10-P10)*4.607</f>
        <v>227.9543600000001</v>
      </c>
    </row>
    <row r="13" spans="1:10" ht="12.75">
      <c r="A13" s="16"/>
      <c r="B13" s="11" t="s">
        <v>29</v>
      </c>
      <c r="C13" s="11" t="s">
        <v>15</v>
      </c>
      <c r="D13" s="11">
        <v>380</v>
      </c>
      <c r="E13" s="11">
        <v>350</v>
      </c>
      <c r="F13" s="3"/>
      <c r="G13" s="6" t="s">
        <v>40</v>
      </c>
      <c r="H13" s="6" t="s">
        <v>40</v>
      </c>
      <c r="I13" s="6" t="s">
        <v>40</v>
      </c>
      <c r="J13" s="2"/>
    </row>
    <row r="14" spans="1:11" ht="12.75">
      <c r="A14" s="16"/>
      <c r="B14" s="11" t="s">
        <v>12</v>
      </c>
      <c r="C14" s="11" t="s">
        <v>15</v>
      </c>
      <c r="D14" s="11">
        <v>364</v>
      </c>
      <c r="E14" s="11">
        <v>338</v>
      </c>
      <c r="F14" s="3"/>
      <c r="G14" s="6" t="s">
        <v>40</v>
      </c>
      <c r="H14" s="6" t="s">
        <v>40</v>
      </c>
      <c r="I14" s="6" t="s">
        <v>40</v>
      </c>
      <c r="J14" s="2"/>
      <c r="K14" s="1" t="s">
        <v>73</v>
      </c>
    </row>
    <row r="15" spans="1:16" ht="51">
      <c r="A15" s="16"/>
      <c r="B15" s="11" t="s">
        <v>14</v>
      </c>
      <c r="C15" s="11" t="s">
        <v>18</v>
      </c>
      <c r="D15" s="11">
        <v>351</v>
      </c>
      <c r="E15" s="11">
        <v>328</v>
      </c>
      <c r="F15" s="3"/>
      <c r="G15" s="6" t="s">
        <v>41</v>
      </c>
      <c r="H15" s="6" t="s">
        <v>41</v>
      </c>
      <c r="I15" s="6" t="s">
        <v>41</v>
      </c>
      <c r="J15" s="2"/>
      <c r="K15" s="13" t="s">
        <v>5</v>
      </c>
      <c r="L15" s="13" t="s">
        <v>6</v>
      </c>
      <c r="M15" s="13" t="s">
        <v>7</v>
      </c>
      <c r="N15" s="13" t="s">
        <v>8</v>
      </c>
      <c r="O15" s="13" t="s">
        <v>9</v>
      </c>
      <c r="P15" s="13" t="s">
        <v>10</v>
      </c>
    </row>
    <row r="16" spans="1:16" ht="12.75">
      <c r="A16" s="16"/>
      <c r="B16" s="11" t="s">
        <v>17</v>
      </c>
      <c r="C16" s="11" t="s">
        <v>18</v>
      </c>
      <c r="D16" s="11">
        <v>336</v>
      </c>
      <c r="E16" s="11">
        <v>318</v>
      </c>
      <c r="F16" s="3"/>
      <c r="G16" s="6" t="s">
        <v>41</v>
      </c>
      <c r="H16" s="6" t="s">
        <v>41</v>
      </c>
      <c r="I16" s="6"/>
      <c r="J16" s="2"/>
      <c r="K16" s="8"/>
      <c r="L16" s="9">
        <v>416</v>
      </c>
      <c r="M16" s="9">
        <v>416</v>
      </c>
      <c r="N16" s="9">
        <f>(4*416+394)/5</f>
        <v>411.6</v>
      </c>
      <c r="O16" s="9">
        <f>(4*416+4*394+2*377)/10</f>
        <v>399.4</v>
      </c>
      <c r="P16" s="9">
        <f>(4*416+4*394+3*377+3*360+4*350+4*338+3*328)/25</f>
        <v>367.48</v>
      </c>
    </row>
    <row r="17" spans="1:16" ht="12.75">
      <c r="A17" s="16"/>
      <c r="B17" s="11" t="s">
        <v>20</v>
      </c>
      <c r="C17" s="11" t="s">
        <v>18</v>
      </c>
      <c r="D17" s="11">
        <v>322</v>
      </c>
      <c r="E17" s="11">
        <v>308</v>
      </c>
      <c r="F17" s="3"/>
      <c r="G17" s="6"/>
      <c r="H17" s="6" t="s">
        <v>41</v>
      </c>
      <c r="I17" s="6"/>
      <c r="J17" s="2"/>
      <c r="K17" s="8" t="s">
        <v>16</v>
      </c>
      <c r="L17" s="8"/>
      <c r="M17" s="10">
        <f>1-M16/$L16</f>
        <v>0</v>
      </c>
      <c r="N17" s="10">
        <f>1-N16/$L16</f>
        <v>0.01057692307692304</v>
      </c>
      <c r="O17" s="10">
        <f>1-O16/$L16</f>
        <v>0.039903846153846234</v>
      </c>
      <c r="P17" s="10">
        <f>1-P16/$L16</f>
        <v>0.11663461538461539</v>
      </c>
    </row>
    <row r="18" spans="1:16" ht="38.25">
      <c r="A18" s="16"/>
      <c r="B18" s="11" t="s">
        <v>21</v>
      </c>
      <c r="C18" s="11" t="s">
        <v>23</v>
      </c>
      <c r="D18" s="11">
        <v>307</v>
      </c>
      <c r="E18" s="11">
        <v>298</v>
      </c>
      <c r="F18" s="3"/>
      <c r="G18" s="2"/>
      <c r="H18" s="2"/>
      <c r="I18" s="2"/>
      <c r="J18" s="2"/>
      <c r="K18" s="11" t="s">
        <v>19</v>
      </c>
      <c r="L18" s="8"/>
      <c r="M18" s="12">
        <f>($L16-M16)*4.607</f>
        <v>0</v>
      </c>
      <c r="N18" s="12">
        <f>($L16-N16)*4.607</f>
        <v>20.270799999999895</v>
      </c>
      <c r="O18" s="12">
        <f>($L16-O16)*4.607</f>
        <v>76.4762000000001</v>
      </c>
      <c r="P18" s="12">
        <f>($L16-P16)*4.607</f>
        <v>223.53163999999992</v>
      </c>
    </row>
    <row r="19" spans="1:10" ht="12.75">
      <c r="A19" s="16"/>
      <c r="B19" s="11" t="s">
        <v>22</v>
      </c>
      <c r="C19" s="11" t="s">
        <v>23</v>
      </c>
      <c r="D19" s="11">
        <v>302</v>
      </c>
      <c r="E19" s="11">
        <v>294</v>
      </c>
      <c r="F19" s="3"/>
      <c r="G19" s="2"/>
      <c r="H19" s="2"/>
      <c r="I19" s="2"/>
      <c r="J19" s="2"/>
    </row>
    <row r="20" spans="1:10" ht="12.75">
      <c r="A20" s="16"/>
      <c r="B20" s="11" t="s">
        <v>24</v>
      </c>
      <c r="C20" s="11" t="s">
        <v>30</v>
      </c>
      <c r="D20" s="11">
        <v>299</v>
      </c>
      <c r="E20" s="11">
        <v>292</v>
      </c>
      <c r="F20" s="3"/>
      <c r="G20" s="2"/>
      <c r="H20" s="2"/>
      <c r="I20" s="2"/>
      <c r="J20" s="2"/>
    </row>
  </sheetData>
  <sheetProtection/>
  <printOptions horizontalCentered="1" verticalCentered="1"/>
  <pageMargins left="0" right="0" top="0" bottom="0" header="0" footer="0"/>
  <pageSetup firstPageNumber="1" useFirstPageNumber="1" fitToHeight="1" fitToWidth="1" horizontalDpi="300" verticalDpi="300" orientation="landscape" paperSize="9" scale="94" r:id="rId1"/>
  <headerFooter alignWithMargins="0">
    <oddHeader>&amp;C&amp;"Times New Roman,Gras"&amp;14Perte financière en cas d'abandon des 6 derniers mois pour le calcul du salaire de référence pour la retraite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K8" sqref="K8"/>
    </sheetView>
  </sheetViews>
  <sheetFormatPr defaultColWidth="11.57421875" defaultRowHeight="12.75"/>
  <cols>
    <col min="1" max="1" width="23.28125" style="0" customWidth="1"/>
    <col min="2" max="5" width="11.57421875" style="0" customWidth="1"/>
    <col min="6" max="6" width="2.7109375" style="0" customWidth="1"/>
    <col min="7" max="9" width="4.57421875" style="0" bestFit="1" customWidth="1"/>
    <col min="10" max="10" width="2.7109375" style="0" customWidth="1"/>
    <col min="11" max="11" width="15.421875" style="0" customWidth="1"/>
  </cols>
  <sheetData>
    <row r="1" s="1" customFormat="1" ht="12.75">
      <c r="A1" s="1" t="s">
        <v>69</v>
      </c>
    </row>
    <row r="2" spans="1:11" ht="72">
      <c r="A2" s="17" t="s">
        <v>43</v>
      </c>
      <c r="B2" s="7" t="s">
        <v>1</v>
      </c>
      <c r="C2" s="18" t="s">
        <v>2</v>
      </c>
      <c r="D2" s="7" t="s">
        <v>3</v>
      </c>
      <c r="E2" s="7" t="s">
        <v>4</v>
      </c>
      <c r="F2" s="1"/>
      <c r="G2" s="21" t="s">
        <v>74</v>
      </c>
      <c r="H2" s="21" t="s">
        <v>75</v>
      </c>
      <c r="I2" s="21" t="s">
        <v>76</v>
      </c>
      <c r="K2" s="1" t="s">
        <v>72</v>
      </c>
    </row>
    <row r="3" spans="1:16" ht="51">
      <c r="A3" s="11" t="s">
        <v>31</v>
      </c>
      <c r="B3" s="11" t="s">
        <v>12</v>
      </c>
      <c r="C3" s="11" t="s">
        <v>13</v>
      </c>
      <c r="D3" s="11">
        <v>612</v>
      </c>
      <c r="E3" s="11">
        <v>514</v>
      </c>
      <c r="G3" s="14" t="s">
        <v>38</v>
      </c>
      <c r="H3" s="14"/>
      <c r="I3" s="14" t="s">
        <v>40</v>
      </c>
      <c r="K3" s="13" t="s">
        <v>5</v>
      </c>
      <c r="L3" s="13" t="s">
        <v>6</v>
      </c>
      <c r="M3" s="13" t="s">
        <v>7</v>
      </c>
      <c r="N3" s="13" t="s">
        <v>8</v>
      </c>
      <c r="O3" s="13" t="s">
        <v>9</v>
      </c>
      <c r="P3" s="13" t="s">
        <v>10</v>
      </c>
    </row>
    <row r="4" spans="1:16" ht="12.75">
      <c r="A4" s="16"/>
      <c r="B4" s="11" t="s">
        <v>14</v>
      </c>
      <c r="C4" s="11" t="s">
        <v>15</v>
      </c>
      <c r="D4" s="11">
        <v>580</v>
      </c>
      <c r="E4" s="11">
        <v>490</v>
      </c>
      <c r="G4" s="14" t="s">
        <v>40</v>
      </c>
      <c r="H4" s="14" t="s">
        <v>39</v>
      </c>
      <c r="I4" s="14" t="s">
        <v>40</v>
      </c>
      <c r="K4" s="8"/>
      <c r="L4" s="9">
        <v>514</v>
      </c>
      <c r="M4" s="9">
        <f>(514+2*490)/3</f>
        <v>498</v>
      </c>
      <c r="N4" s="9">
        <f>(514+4*490)/5</f>
        <v>494.8</v>
      </c>
      <c r="O4" s="9">
        <f>(514+4*490+3*467+2*443)/10</f>
        <v>476.1</v>
      </c>
      <c r="P4" s="9">
        <f>(514+4*490+3*467+3*443+3*420+2.5*395+3*384+3*370+2.5*362)/25</f>
        <v>424.74</v>
      </c>
    </row>
    <row r="5" spans="1:16" ht="12.75">
      <c r="A5" s="16"/>
      <c r="B5" s="11" t="s">
        <v>17</v>
      </c>
      <c r="C5" s="11" t="s">
        <v>18</v>
      </c>
      <c r="D5" s="11">
        <v>549</v>
      </c>
      <c r="E5" s="11">
        <v>467</v>
      </c>
      <c r="G5" s="14" t="s">
        <v>41</v>
      </c>
      <c r="H5" s="14" t="s">
        <v>41</v>
      </c>
      <c r="I5" s="14" t="s">
        <v>41</v>
      </c>
      <c r="K5" s="8" t="s">
        <v>16</v>
      </c>
      <c r="L5" s="8"/>
      <c r="M5" s="10">
        <f>1-M4/$L4</f>
        <v>0.0311284046692607</v>
      </c>
      <c r="N5" s="10">
        <f>1-N4/$L4</f>
        <v>0.03735408560311282</v>
      </c>
      <c r="O5" s="10">
        <f>1-O4/$L4</f>
        <v>0.07373540856031124</v>
      </c>
      <c r="P5" s="10">
        <f>1-P4/$L4</f>
        <v>0.17365758754863814</v>
      </c>
    </row>
    <row r="6" spans="1:16" ht="25.5">
      <c r="A6" s="16"/>
      <c r="B6" s="11" t="s">
        <v>20</v>
      </c>
      <c r="C6" s="11" t="s">
        <v>18</v>
      </c>
      <c r="D6" s="11">
        <v>518</v>
      </c>
      <c r="E6" s="11">
        <v>445</v>
      </c>
      <c r="G6" s="14"/>
      <c r="H6" s="14"/>
      <c r="I6" s="14"/>
      <c r="K6" s="11" t="s">
        <v>19</v>
      </c>
      <c r="L6" s="8"/>
      <c r="M6" s="12">
        <f>($L4-M4)*4.607</f>
        <v>73.712</v>
      </c>
      <c r="N6" s="12">
        <f>($L4-N4)*4.607</f>
        <v>88.45439999999995</v>
      </c>
      <c r="O6" s="12">
        <f>($L4-O4)*4.607</f>
        <v>174.60529999999991</v>
      </c>
      <c r="P6" s="12">
        <f>($L4-P4)*4.607</f>
        <v>411.22082</v>
      </c>
    </row>
    <row r="7" spans="1:9" ht="25.5">
      <c r="A7" s="16"/>
      <c r="B7" s="11" t="s">
        <v>21</v>
      </c>
      <c r="C7" s="11" t="s">
        <v>32</v>
      </c>
      <c r="D7" s="11">
        <v>487</v>
      </c>
      <c r="E7" s="11">
        <v>421</v>
      </c>
      <c r="G7" s="14"/>
      <c r="H7" s="14"/>
      <c r="I7" s="14"/>
    </row>
    <row r="8" spans="1:11" ht="25.5">
      <c r="A8" s="16"/>
      <c r="B8" s="11" t="s">
        <v>22</v>
      </c>
      <c r="C8" s="11" t="s">
        <v>32</v>
      </c>
      <c r="D8" s="11">
        <v>453</v>
      </c>
      <c r="E8" s="11">
        <v>397</v>
      </c>
      <c r="G8" s="14"/>
      <c r="H8" s="14"/>
      <c r="I8" s="14"/>
      <c r="K8" s="1" t="s">
        <v>77</v>
      </c>
    </row>
    <row r="9" spans="1:16" ht="51">
      <c r="A9" s="16"/>
      <c r="B9" s="11" t="s">
        <v>24</v>
      </c>
      <c r="C9" s="11" t="s">
        <v>23</v>
      </c>
      <c r="D9" s="11">
        <v>425</v>
      </c>
      <c r="E9" s="11">
        <v>377</v>
      </c>
      <c r="G9" s="14"/>
      <c r="H9" s="14"/>
      <c r="I9" s="14"/>
      <c r="K9" s="13" t="s">
        <v>5</v>
      </c>
      <c r="L9" s="13" t="s">
        <v>6</v>
      </c>
      <c r="M9" s="13" t="s">
        <v>7</v>
      </c>
      <c r="N9" s="13" t="s">
        <v>8</v>
      </c>
      <c r="O9" s="13" t="s">
        <v>9</v>
      </c>
      <c r="P9" s="13" t="s">
        <v>10</v>
      </c>
    </row>
    <row r="10" spans="1:16" ht="25.5">
      <c r="A10" s="11" t="s">
        <v>33</v>
      </c>
      <c r="B10" s="11" t="s">
        <v>29</v>
      </c>
      <c r="C10" s="11" t="s">
        <v>13</v>
      </c>
      <c r="D10" s="11">
        <v>579</v>
      </c>
      <c r="E10" s="11">
        <v>489</v>
      </c>
      <c r="G10" s="14"/>
      <c r="H10" s="14"/>
      <c r="I10" s="14"/>
      <c r="K10" s="8"/>
      <c r="L10" s="9">
        <v>490</v>
      </c>
      <c r="M10" s="9">
        <f>(2*490+467)/3</f>
        <v>482.3333333333333</v>
      </c>
      <c r="N10" s="9">
        <f>(2*490+3*467)/5</f>
        <v>476.2</v>
      </c>
      <c r="O10" s="9">
        <f>(2*490+3*467+3*443+2*420)/10</f>
        <v>455</v>
      </c>
      <c r="P10" s="9">
        <f>(2*490+3*467+3*443+3*420+2.5*395+3*384+3*370+3*362+2.5*352)/25</f>
        <v>407.42</v>
      </c>
    </row>
    <row r="11" spans="1:16" ht="12.75">
      <c r="A11" s="16"/>
      <c r="B11" s="11" t="s">
        <v>12</v>
      </c>
      <c r="C11" s="11" t="s">
        <v>15</v>
      </c>
      <c r="D11" s="11">
        <v>547</v>
      </c>
      <c r="E11" s="11">
        <v>465</v>
      </c>
      <c r="G11" s="14"/>
      <c r="H11" s="14"/>
      <c r="I11" s="14"/>
      <c r="K11" s="8" t="s">
        <v>16</v>
      </c>
      <c r="L11" s="8"/>
      <c r="M11" s="10">
        <f>1-M10/$L10</f>
        <v>0.0156462585034014</v>
      </c>
      <c r="N11" s="10">
        <f>1-N10/$L10</f>
        <v>0.028163265306122454</v>
      </c>
      <c r="O11" s="10">
        <f>1-O10/$L10</f>
        <v>0.0714285714285714</v>
      </c>
      <c r="P11" s="10">
        <f>1-P10/$L10</f>
        <v>0.16853061224489796</v>
      </c>
    </row>
    <row r="12" spans="1:16" ht="25.5">
      <c r="A12" s="16"/>
      <c r="B12" s="11" t="s">
        <v>14</v>
      </c>
      <c r="C12" s="11" t="s">
        <v>18</v>
      </c>
      <c r="D12" s="11">
        <v>516</v>
      </c>
      <c r="E12" s="11">
        <v>443</v>
      </c>
      <c r="G12" s="14" t="s">
        <v>41</v>
      </c>
      <c r="H12" s="14" t="s">
        <v>41</v>
      </c>
      <c r="I12" s="14" t="s">
        <v>41</v>
      </c>
      <c r="K12" s="11" t="s">
        <v>19</v>
      </c>
      <c r="L12" s="8"/>
      <c r="M12" s="12">
        <f>($L10-M10)*4.607</f>
        <v>35.32033333333342</v>
      </c>
      <c r="N12" s="12">
        <f>($L10-N10)*4.607</f>
        <v>63.576600000000056</v>
      </c>
      <c r="O12" s="12">
        <f>($L10-O10)*4.607</f>
        <v>161.245</v>
      </c>
      <c r="P12" s="12">
        <f>($L10-P10)*4.607</f>
        <v>380.44605999999993</v>
      </c>
    </row>
    <row r="13" spans="1:9" ht="12.75">
      <c r="A13" s="16"/>
      <c r="B13" s="11" t="s">
        <v>17</v>
      </c>
      <c r="C13" s="11" t="s">
        <v>18</v>
      </c>
      <c r="D13" s="11">
        <v>485</v>
      </c>
      <c r="E13" s="11">
        <v>420</v>
      </c>
      <c r="G13" s="14" t="s">
        <v>41</v>
      </c>
      <c r="H13" s="14" t="s">
        <v>41</v>
      </c>
      <c r="I13" s="14" t="s">
        <v>41</v>
      </c>
    </row>
    <row r="14" spans="1:11" ht="25.5">
      <c r="A14" s="16"/>
      <c r="B14" s="11" t="s">
        <v>20</v>
      </c>
      <c r="C14" s="11" t="s">
        <v>32</v>
      </c>
      <c r="D14" s="11">
        <v>463</v>
      </c>
      <c r="E14" s="11">
        <v>405</v>
      </c>
      <c r="G14" s="14"/>
      <c r="H14" s="14"/>
      <c r="I14" s="14"/>
      <c r="K14" s="1" t="s">
        <v>73</v>
      </c>
    </row>
    <row r="15" spans="1:16" ht="51">
      <c r="A15" s="16"/>
      <c r="B15" s="11" t="s">
        <v>21</v>
      </c>
      <c r="C15" s="11" t="s">
        <v>23</v>
      </c>
      <c r="D15" s="11">
        <v>436</v>
      </c>
      <c r="E15" s="11">
        <v>384</v>
      </c>
      <c r="G15" s="14"/>
      <c r="H15" s="14"/>
      <c r="I15" s="14"/>
      <c r="K15" s="13" t="s">
        <v>5</v>
      </c>
      <c r="L15" s="13" t="s">
        <v>6</v>
      </c>
      <c r="M15" s="13" t="s">
        <v>7</v>
      </c>
      <c r="N15" s="13" t="s">
        <v>8</v>
      </c>
      <c r="O15" s="13" t="s">
        <v>9</v>
      </c>
      <c r="P15" s="13" t="s">
        <v>10</v>
      </c>
    </row>
    <row r="16" spans="1:16" ht="12.75">
      <c r="A16" s="16"/>
      <c r="B16" s="11" t="s">
        <v>22</v>
      </c>
      <c r="C16" s="11" t="s">
        <v>23</v>
      </c>
      <c r="D16" s="11">
        <v>416</v>
      </c>
      <c r="E16" s="11">
        <v>370</v>
      </c>
      <c r="G16" s="14"/>
      <c r="H16" s="14"/>
      <c r="I16" s="14"/>
      <c r="K16" s="8"/>
      <c r="L16" s="9">
        <v>514</v>
      </c>
      <c r="M16" s="9">
        <v>514</v>
      </c>
      <c r="N16" s="9">
        <f>(4*514+490)/5</f>
        <v>509.2</v>
      </c>
      <c r="O16" s="9">
        <f>(4*514+4*490+2*467)/10</f>
        <v>495</v>
      </c>
      <c r="P16" s="9">
        <f>(4*514+4*490+3*467+3*443+3*420+2.5*395+3*384+2.5*370)/25</f>
        <v>442.82</v>
      </c>
    </row>
    <row r="17" spans="1:16" ht="12.75">
      <c r="A17" s="16"/>
      <c r="B17" s="11" t="s">
        <v>24</v>
      </c>
      <c r="C17" s="11" t="s">
        <v>34</v>
      </c>
      <c r="D17" s="11">
        <v>399</v>
      </c>
      <c r="E17" s="11">
        <v>362</v>
      </c>
      <c r="G17" s="14"/>
      <c r="H17" s="14"/>
      <c r="I17" s="14"/>
      <c r="K17" s="8" t="s">
        <v>16</v>
      </c>
      <c r="L17" s="8"/>
      <c r="M17" s="10">
        <f>1-M16/$L16</f>
        <v>0</v>
      </c>
      <c r="N17" s="10">
        <f>1-N16/$L16</f>
        <v>0.009338521400778177</v>
      </c>
      <c r="O17" s="10">
        <f>1-O16/$L16</f>
        <v>0.03696498054474706</v>
      </c>
      <c r="P17" s="10">
        <f>1-P16/$L16</f>
        <v>0.13848249027237358</v>
      </c>
    </row>
    <row r="18" spans="1:16" ht="25.5">
      <c r="A18" s="11" t="s">
        <v>35</v>
      </c>
      <c r="B18" s="11" t="s">
        <v>36</v>
      </c>
      <c r="C18" s="11" t="s">
        <v>13</v>
      </c>
      <c r="D18" s="11">
        <v>544</v>
      </c>
      <c r="E18" s="11">
        <v>463</v>
      </c>
      <c r="G18" s="14"/>
      <c r="H18" s="14"/>
      <c r="I18" s="14"/>
      <c r="K18" s="11" t="s">
        <v>19</v>
      </c>
      <c r="L18" s="8"/>
      <c r="M18" s="12">
        <f>($L16-M16)*4.607</f>
        <v>0</v>
      </c>
      <c r="N18" s="12">
        <f>($L16-N16)*4.607</f>
        <v>22.113600000000055</v>
      </c>
      <c r="O18" s="12">
        <f>($L16-O16)*4.607</f>
        <v>87.533</v>
      </c>
      <c r="P18" s="12">
        <f>($L16-P16)*4.607</f>
        <v>327.92626000000007</v>
      </c>
    </row>
    <row r="19" spans="1:9" ht="12.75">
      <c r="A19" s="16"/>
      <c r="B19" s="11" t="s">
        <v>37</v>
      </c>
      <c r="C19" s="11" t="s">
        <v>15</v>
      </c>
      <c r="D19" s="11">
        <v>510</v>
      </c>
      <c r="E19" s="11">
        <v>439</v>
      </c>
      <c r="G19" s="14"/>
      <c r="H19" s="14"/>
      <c r="I19" s="14"/>
    </row>
    <row r="20" spans="1:9" ht="12.75">
      <c r="A20" s="16"/>
      <c r="B20" s="11" t="s">
        <v>26</v>
      </c>
      <c r="C20" s="11" t="s">
        <v>18</v>
      </c>
      <c r="D20" s="11">
        <v>483</v>
      </c>
      <c r="E20" s="11">
        <v>418</v>
      </c>
      <c r="G20" s="14"/>
      <c r="H20" s="14"/>
      <c r="I20" s="14"/>
    </row>
    <row r="21" spans="1:9" ht="12.75">
      <c r="A21" s="16"/>
      <c r="B21" s="11" t="s">
        <v>27</v>
      </c>
      <c r="C21" s="11" t="s">
        <v>18</v>
      </c>
      <c r="D21" s="11">
        <v>450</v>
      </c>
      <c r="E21" s="11">
        <v>395</v>
      </c>
      <c r="G21" s="14" t="s">
        <v>42</v>
      </c>
      <c r="H21" s="14" t="s">
        <v>42</v>
      </c>
      <c r="I21" s="14" t="s">
        <v>42</v>
      </c>
    </row>
    <row r="22" spans="1:9" ht="12.75">
      <c r="A22" s="16"/>
      <c r="B22" s="11" t="s">
        <v>28</v>
      </c>
      <c r="C22" s="11" t="s">
        <v>18</v>
      </c>
      <c r="D22" s="11">
        <v>436</v>
      </c>
      <c r="E22" s="11">
        <v>384</v>
      </c>
      <c r="G22" s="14" t="s">
        <v>41</v>
      </c>
      <c r="H22" s="14" t="s">
        <v>41</v>
      </c>
      <c r="I22" s="14">
        <v>3</v>
      </c>
    </row>
    <row r="23" spans="1:9" ht="12.75">
      <c r="A23" s="16"/>
      <c r="B23" s="11" t="s">
        <v>29</v>
      </c>
      <c r="C23" s="11" t="s">
        <v>18</v>
      </c>
      <c r="D23" s="11">
        <v>416</v>
      </c>
      <c r="E23" s="11">
        <v>370</v>
      </c>
      <c r="G23" s="14" t="s">
        <v>41</v>
      </c>
      <c r="H23" s="14" t="s">
        <v>41</v>
      </c>
      <c r="I23" s="14" t="s">
        <v>42</v>
      </c>
    </row>
    <row r="24" spans="1:9" ht="12.75">
      <c r="A24" s="16"/>
      <c r="B24" s="11" t="s">
        <v>12</v>
      </c>
      <c r="C24" s="11" t="s">
        <v>18</v>
      </c>
      <c r="D24" s="11">
        <v>398</v>
      </c>
      <c r="E24" s="11">
        <v>362</v>
      </c>
      <c r="G24" s="14" t="s">
        <v>42</v>
      </c>
      <c r="H24" s="14" t="s">
        <v>41</v>
      </c>
      <c r="I24" s="14"/>
    </row>
    <row r="25" spans="1:9" ht="12.75">
      <c r="A25" s="16"/>
      <c r="B25" s="11" t="s">
        <v>14</v>
      </c>
      <c r="C25" s="11" t="s">
        <v>23</v>
      </c>
      <c r="D25" s="11">
        <v>382</v>
      </c>
      <c r="E25" s="11">
        <v>352</v>
      </c>
      <c r="G25" s="14"/>
      <c r="H25" s="14" t="s">
        <v>42</v>
      </c>
      <c r="I25" s="14"/>
    </row>
    <row r="26" spans="1:5" ht="12.75">
      <c r="A26" s="16"/>
      <c r="B26" s="11" t="s">
        <v>17</v>
      </c>
      <c r="C26" s="11" t="s">
        <v>34</v>
      </c>
      <c r="D26" s="11">
        <v>366</v>
      </c>
      <c r="E26" s="11">
        <v>339</v>
      </c>
    </row>
    <row r="27" spans="1:5" ht="12.75">
      <c r="A27" s="16"/>
      <c r="B27" s="11" t="s">
        <v>20</v>
      </c>
      <c r="C27" s="11" t="s">
        <v>34</v>
      </c>
      <c r="D27" s="11">
        <v>347</v>
      </c>
      <c r="E27" s="11">
        <v>325</v>
      </c>
    </row>
    <row r="28" spans="1:5" ht="12.75">
      <c r="A28" s="16"/>
      <c r="B28" s="11" t="s">
        <v>21</v>
      </c>
      <c r="C28" s="11" t="s">
        <v>34</v>
      </c>
      <c r="D28" s="11">
        <v>337</v>
      </c>
      <c r="E28" s="11">
        <v>319</v>
      </c>
    </row>
    <row r="29" spans="1:5" ht="12.75">
      <c r="A29" s="16"/>
      <c r="B29" s="11" t="s">
        <v>22</v>
      </c>
      <c r="C29" s="11" t="s">
        <v>34</v>
      </c>
      <c r="D29" s="11">
        <v>315</v>
      </c>
      <c r="E29" s="11">
        <v>303</v>
      </c>
    </row>
    <row r="30" spans="1:5" ht="12.75">
      <c r="A30" s="16"/>
      <c r="B30" s="11" t="s">
        <v>24</v>
      </c>
      <c r="C30" s="11" t="s">
        <v>30</v>
      </c>
      <c r="D30" s="11">
        <v>306</v>
      </c>
      <c r="E30" s="11">
        <v>297</v>
      </c>
    </row>
  </sheetData>
  <sheetProtection/>
  <printOptions horizontalCentered="1" verticalCentered="1"/>
  <pageMargins left="0" right="0.7874015748031497" top="0" bottom="0" header="0" footer="0"/>
  <pageSetup fitToHeight="1" fitToWidth="1" horizontalDpi="300" verticalDpi="300" orientation="landscape" paperSize="9" scale="86" r:id="rId2"/>
  <headerFooter alignWithMargins="0">
    <oddHeader>&amp;C&amp;"Times New Roman,Gras"&amp;14Perte financière en cas d'abandon des 6 derniers mois pour le calcul du salaire de référence pour la retraite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K8" sqref="K8"/>
    </sheetView>
  </sheetViews>
  <sheetFormatPr defaultColWidth="11.57421875" defaultRowHeight="12.75"/>
  <cols>
    <col min="1" max="5" width="11.57421875" style="0" customWidth="1"/>
    <col min="6" max="6" width="2.7109375" style="0" customWidth="1"/>
    <col min="7" max="9" width="4.57421875" style="0" bestFit="1" customWidth="1"/>
    <col min="10" max="10" width="2.7109375" style="0" customWidth="1"/>
    <col min="11" max="11" width="15.421875" style="0" customWidth="1"/>
  </cols>
  <sheetData>
    <row r="1" ht="12.75">
      <c r="A1" s="1" t="s">
        <v>71</v>
      </c>
    </row>
    <row r="2" spans="1:11" ht="72">
      <c r="A2" s="17" t="s">
        <v>43</v>
      </c>
      <c r="B2" s="17" t="s">
        <v>44</v>
      </c>
      <c r="C2" s="19" t="s">
        <v>2</v>
      </c>
      <c r="D2" s="17" t="s">
        <v>45</v>
      </c>
      <c r="E2" s="17" t="s">
        <v>46</v>
      </c>
      <c r="G2" s="21" t="s">
        <v>74</v>
      </c>
      <c r="H2" s="21" t="s">
        <v>75</v>
      </c>
      <c r="I2" s="21" t="s">
        <v>76</v>
      </c>
      <c r="K2" s="1" t="s">
        <v>72</v>
      </c>
    </row>
    <row r="3" spans="1:16" ht="51">
      <c r="A3" s="15" t="s">
        <v>47</v>
      </c>
      <c r="B3" s="15" t="s">
        <v>48</v>
      </c>
      <c r="C3" s="15" t="s">
        <v>49</v>
      </c>
      <c r="D3" s="15">
        <v>966</v>
      </c>
      <c r="E3" s="15">
        <v>783</v>
      </c>
      <c r="G3" s="14" t="s">
        <v>38</v>
      </c>
      <c r="H3" s="14"/>
      <c r="I3" s="14" t="s">
        <v>40</v>
      </c>
      <c r="K3" s="13" t="s">
        <v>5</v>
      </c>
      <c r="L3" s="13" t="s">
        <v>6</v>
      </c>
      <c r="M3" s="13" t="s">
        <v>7</v>
      </c>
      <c r="N3" s="13" t="s">
        <v>8</v>
      </c>
      <c r="O3" s="13" t="s">
        <v>9</v>
      </c>
      <c r="P3" s="13" t="s">
        <v>10</v>
      </c>
    </row>
    <row r="4" spans="1:16" ht="12.75">
      <c r="A4" s="15"/>
      <c r="B4" s="15" t="s">
        <v>50</v>
      </c>
      <c r="C4" s="15" t="s">
        <v>51</v>
      </c>
      <c r="D4" s="15">
        <v>916</v>
      </c>
      <c r="E4" s="15">
        <v>746</v>
      </c>
      <c r="G4" s="14" t="s">
        <v>41</v>
      </c>
      <c r="H4" s="14" t="s">
        <v>39</v>
      </c>
      <c r="I4" s="14" t="s">
        <v>41</v>
      </c>
      <c r="K4" s="8"/>
      <c r="L4" s="9">
        <v>783</v>
      </c>
      <c r="M4" s="9">
        <f>(783+2*746)/3</f>
        <v>758.3333333333334</v>
      </c>
      <c r="N4" s="9">
        <f>(783+3*746+706)/5</f>
        <v>745.4</v>
      </c>
      <c r="O4" s="9">
        <f>(780+3*746+2.5*706+2.5*673+626)/10</f>
        <v>709.15</v>
      </c>
      <c r="P4" s="9">
        <f>(780+3*746+2.5*706+2.5*673+2*626+3*584+3*545+3*524+3*496+2*461)/25</f>
        <v>603.46</v>
      </c>
    </row>
    <row r="5" spans="1:16" ht="25.5">
      <c r="A5" s="15"/>
      <c r="B5" s="15" t="s">
        <v>52</v>
      </c>
      <c r="C5" s="15" t="s">
        <v>53</v>
      </c>
      <c r="D5" s="15">
        <v>864</v>
      </c>
      <c r="E5" s="15">
        <v>706</v>
      </c>
      <c r="G5" s="14" t="s">
        <v>42</v>
      </c>
      <c r="H5" s="14" t="s">
        <v>42</v>
      </c>
      <c r="I5" s="14" t="s">
        <v>42</v>
      </c>
      <c r="K5" s="8" t="s">
        <v>16</v>
      </c>
      <c r="L5" s="8"/>
      <c r="M5" s="10">
        <f>1-M4/$L4</f>
        <v>0.03150276713495104</v>
      </c>
      <c r="N5" s="10">
        <f>1-N4/$L4</f>
        <v>0.04802043422733082</v>
      </c>
      <c r="O5" s="10">
        <f>1-O4/$L4</f>
        <v>0.0943167305236271</v>
      </c>
      <c r="P5" s="10">
        <f>1-P4/$L4</f>
        <v>0.2292975734355044</v>
      </c>
    </row>
    <row r="6" spans="1:16" ht="25.5">
      <c r="A6" s="15"/>
      <c r="B6" s="15" t="s">
        <v>54</v>
      </c>
      <c r="C6" s="15" t="s">
        <v>53</v>
      </c>
      <c r="D6" s="15">
        <v>821</v>
      </c>
      <c r="E6" s="15">
        <v>673</v>
      </c>
      <c r="G6" s="14" t="s">
        <v>42</v>
      </c>
      <c r="H6" s="14" t="s">
        <v>42</v>
      </c>
      <c r="I6" s="14" t="s">
        <v>42</v>
      </c>
      <c r="K6" s="11" t="s">
        <v>19</v>
      </c>
      <c r="L6" s="8"/>
      <c r="M6" s="12">
        <f>($L4-M4)*4.607</f>
        <v>113.63933333333317</v>
      </c>
      <c r="N6" s="12">
        <f>($L4-N4)*4.607</f>
        <v>173.2232000000001</v>
      </c>
      <c r="O6" s="12">
        <f>($L4-O4)*4.607</f>
        <v>340.2269500000001</v>
      </c>
      <c r="P6" s="12">
        <f>($L4-P4)*4.607</f>
        <v>827.1407799999998</v>
      </c>
    </row>
    <row r="7" spans="1:9" ht="12.75">
      <c r="A7" s="15"/>
      <c r="B7" s="15" t="s">
        <v>55</v>
      </c>
      <c r="C7" s="15" t="s">
        <v>56</v>
      </c>
      <c r="D7" s="15">
        <v>759</v>
      </c>
      <c r="E7" s="15">
        <v>626</v>
      </c>
      <c r="G7" s="14"/>
      <c r="H7" s="14"/>
      <c r="I7" s="14"/>
    </row>
    <row r="8" spans="1:11" ht="12.75">
      <c r="A8" s="15"/>
      <c r="B8" s="15" t="s">
        <v>57</v>
      </c>
      <c r="C8" s="15" t="s">
        <v>56</v>
      </c>
      <c r="D8" s="15">
        <v>712</v>
      </c>
      <c r="E8" s="15">
        <v>590</v>
      </c>
      <c r="G8" s="14"/>
      <c r="H8" s="14"/>
      <c r="I8" s="14"/>
      <c r="K8" s="1" t="s">
        <v>77</v>
      </c>
    </row>
    <row r="9" spans="1:16" ht="51">
      <c r="A9" s="15"/>
      <c r="B9" s="15" t="s">
        <v>58</v>
      </c>
      <c r="C9" s="15" t="s">
        <v>56</v>
      </c>
      <c r="D9" s="15">
        <v>660</v>
      </c>
      <c r="E9" s="15">
        <v>551</v>
      </c>
      <c r="G9" s="14"/>
      <c r="H9" s="14"/>
      <c r="I9" s="14"/>
      <c r="K9" s="13" t="s">
        <v>5</v>
      </c>
      <c r="L9" s="13" t="s">
        <v>6</v>
      </c>
      <c r="M9" s="13" t="s">
        <v>7</v>
      </c>
      <c r="N9" s="13" t="s">
        <v>8</v>
      </c>
      <c r="O9" s="13" t="s">
        <v>9</v>
      </c>
      <c r="P9" s="13" t="s">
        <v>10</v>
      </c>
    </row>
    <row r="10" spans="1:16" ht="12.75">
      <c r="A10" s="15"/>
      <c r="B10" s="15" t="s">
        <v>59</v>
      </c>
      <c r="C10" s="15" t="s">
        <v>56</v>
      </c>
      <c r="D10" s="15">
        <v>616</v>
      </c>
      <c r="E10" s="15">
        <v>517</v>
      </c>
      <c r="G10" s="14"/>
      <c r="H10" s="14"/>
      <c r="I10" s="14"/>
      <c r="K10" s="8"/>
      <c r="L10" s="9">
        <v>746</v>
      </c>
      <c r="M10" s="9">
        <f>(2*746+706)/3</f>
        <v>732.6666666666666</v>
      </c>
      <c r="N10" s="9">
        <f>(2*746+2.5*706+0.5*673)/5</f>
        <v>718.7</v>
      </c>
      <c r="O10" s="9">
        <f>(2*746+2.5*706+2.5*673+2*626+584)/10</f>
        <v>677.55</v>
      </c>
      <c r="P10" s="9">
        <f>(2*746+2.5*706+2.5*673+2*626+3*584+3*545+3*524+3*496+2.5*461+1.5*431)/25</f>
        <v>577.5</v>
      </c>
    </row>
    <row r="11" spans="1:16" ht="12.75">
      <c r="A11" s="15"/>
      <c r="B11" s="15" t="s">
        <v>60</v>
      </c>
      <c r="C11" s="15" t="s">
        <v>56</v>
      </c>
      <c r="D11" s="15">
        <v>572</v>
      </c>
      <c r="E11" s="15">
        <v>483</v>
      </c>
      <c r="G11" s="14"/>
      <c r="H11" s="14"/>
      <c r="I11" s="14"/>
      <c r="K11" s="8" t="s">
        <v>16</v>
      </c>
      <c r="L11" s="8"/>
      <c r="M11" s="10">
        <f>1-M10/$L10</f>
        <v>0.01787310098302064</v>
      </c>
      <c r="N11" s="10">
        <f>1-N10/$L10</f>
        <v>0.03659517426273451</v>
      </c>
      <c r="O11" s="10">
        <f>1-O10/$L10</f>
        <v>0.09175603217158179</v>
      </c>
      <c r="P11" s="10">
        <f>1-P10/$L10</f>
        <v>0.22587131367292224</v>
      </c>
    </row>
    <row r="12" spans="1:16" ht="25.5">
      <c r="A12" s="15"/>
      <c r="B12" s="15" t="s">
        <v>61</v>
      </c>
      <c r="C12" s="15" t="s">
        <v>62</v>
      </c>
      <c r="D12" s="15">
        <v>504</v>
      </c>
      <c r="E12" s="15">
        <v>434</v>
      </c>
      <c r="G12" s="14"/>
      <c r="H12" s="14"/>
      <c r="I12" s="14"/>
      <c r="K12" s="11" t="s">
        <v>19</v>
      </c>
      <c r="L12" s="8"/>
      <c r="M12" s="12">
        <f>($L10-M10)*4.607</f>
        <v>61.42666666666685</v>
      </c>
      <c r="N12" s="12">
        <f>($L10-N10)*4.607</f>
        <v>125.77109999999979</v>
      </c>
      <c r="O12" s="12">
        <f>($L10-O10)*4.607</f>
        <v>315.34915000000024</v>
      </c>
      <c r="P12" s="12">
        <f>($L10-P10)*4.607</f>
        <v>776.2795</v>
      </c>
    </row>
    <row r="13" spans="1:9" ht="12.75">
      <c r="A13" s="15" t="s">
        <v>63</v>
      </c>
      <c r="B13" s="15" t="s">
        <v>64</v>
      </c>
      <c r="C13" s="15" t="s">
        <v>49</v>
      </c>
      <c r="D13" s="15">
        <v>801</v>
      </c>
      <c r="E13" s="15">
        <v>658</v>
      </c>
      <c r="G13" s="14"/>
      <c r="H13" s="14"/>
      <c r="I13" s="14"/>
    </row>
    <row r="14" spans="1:11" ht="12.75">
      <c r="A14" s="15"/>
      <c r="B14" s="15" t="s">
        <v>65</v>
      </c>
      <c r="C14" s="15" t="s">
        <v>66</v>
      </c>
      <c r="D14" s="15">
        <v>759</v>
      </c>
      <c r="E14" s="15">
        <v>626</v>
      </c>
      <c r="G14" s="14" t="s">
        <v>39</v>
      </c>
      <c r="H14" s="14" t="s">
        <v>39</v>
      </c>
      <c r="I14" s="14" t="s">
        <v>39</v>
      </c>
      <c r="K14" s="1" t="s">
        <v>73</v>
      </c>
    </row>
    <row r="15" spans="1:16" ht="51">
      <c r="A15" s="15"/>
      <c r="B15" s="15" t="s">
        <v>48</v>
      </c>
      <c r="C15" s="15" t="s">
        <v>51</v>
      </c>
      <c r="D15" s="15">
        <v>703</v>
      </c>
      <c r="E15" s="15">
        <v>584</v>
      </c>
      <c r="G15" s="14" t="s">
        <v>41</v>
      </c>
      <c r="H15" s="14" t="s">
        <v>41</v>
      </c>
      <c r="I15" s="14" t="s">
        <v>41</v>
      </c>
      <c r="K15" s="13" t="s">
        <v>5</v>
      </c>
      <c r="L15" s="13" t="s">
        <v>6</v>
      </c>
      <c r="M15" s="13" t="s">
        <v>7</v>
      </c>
      <c r="N15" s="13" t="s">
        <v>8</v>
      </c>
      <c r="O15" s="13" t="s">
        <v>9</v>
      </c>
      <c r="P15" s="13" t="s">
        <v>10</v>
      </c>
    </row>
    <row r="16" spans="1:16" ht="12.75">
      <c r="A16" s="15"/>
      <c r="B16" s="15" t="s">
        <v>50</v>
      </c>
      <c r="C16" s="15" t="s">
        <v>51</v>
      </c>
      <c r="D16" s="15">
        <v>653</v>
      </c>
      <c r="E16" s="15">
        <v>545</v>
      </c>
      <c r="G16" s="14" t="s">
        <v>41</v>
      </c>
      <c r="H16" s="14" t="s">
        <v>41</v>
      </c>
      <c r="I16" s="14" t="s">
        <v>41</v>
      </c>
      <c r="K16" s="8"/>
      <c r="L16" s="9">
        <v>783</v>
      </c>
      <c r="M16" s="9">
        <f>3*783/3</f>
        <v>783</v>
      </c>
      <c r="N16" s="9">
        <f>(4*783+746)/5</f>
        <v>775.6</v>
      </c>
      <c r="O16" s="9">
        <f>(4*783+3*746+2.5*706+0.5*673)/10</f>
        <v>747.15</v>
      </c>
      <c r="P16" s="9">
        <f>(4*783+3*746+2.5*706+2.5*673+2*626+3*584+3*545+3*524+2*496)/25</f>
        <v>640.82</v>
      </c>
    </row>
    <row r="17" spans="1:16" ht="12.75">
      <c r="A17" s="15"/>
      <c r="B17" s="15" t="s">
        <v>52</v>
      </c>
      <c r="C17" s="15" t="s">
        <v>51</v>
      </c>
      <c r="D17" s="15">
        <v>625</v>
      </c>
      <c r="E17" s="15">
        <v>524</v>
      </c>
      <c r="G17" s="14" t="s">
        <v>41</v>
      </c>
      <c r="H17" s="14" t="s">
        <v>41</v>
      </c>
      <c r="I17" s="14" t="s">
        <v>41</v>
      </c>
      <c r="K17" s="8" t="s">
        <v>16</v>
      </c>
      <c r="L17" s="8"/>
      <c r="M17" s="10">
        <f>1-M16/$L16</f>
        <v>0</v>
      </c>
      <c r="N17" s="10">
        <f>1-N16/$L16</f>
        <v>0.009450830140485311</v>
      </c>
      <c r="O17" s="10">
        <f>1-O16/$L16</f>
        <v>0.04578544061302681</v>
      </c>
      <c r="P17" s="10">
        <f>1-P16/$L16</f>
        <v>0.18158365261813536</v>
      </c>
    </row>
    <row r="18" spans="1:16" ht="25.5">
      <c r="A18" s="15"/>
      <c r="B18" s="15" t="s">
        <v>54</v>
      </c>
      <c r="C18" s="15" t="s">
        <v>51</v>
      </c>
      <c r="D18" s="15">
        <v>588</v>
      </c>
      <c r="E18" s="15">
        <v>496</v>
      </c>
      <c r="G18" s="14" t="s">
        <v>41</v>
      </c>
      <c r="H18" s="14" t="s">
        <v>41</v>
      </c>
      <c r="I18" s="14" t="s">
        <v>39</v>
      </c>
      <c r="K18" s="11" t="s">
        <v>19</v>
      </c>
      <c r="L18" s="8"/>
      <c r="M18" s="12">
        <f>($L16-M16)*4.607</f>
        <v>0</v>
      </c>
      <c r="N18" s="12">
        <f>($L16-N16)*4.607</f>
        <v>34.0917999999999</v>
      </c>
      <c r="O18" s="12">
        <f>($L16-O16)*4.607</f>
        <v>165.1609500000001</v>
      </c>
      <c r="P18" s="12">
        <f>($L16-P16)*4.607</f>
        <v>655.0232599999998</v>
      </c>
    </row>
    <row r="19" spans="1:9" ht="25.5">
      <c r="A19" s="15"/>
      <c r="B19" s="15" t="s">
        <v>55</v>
      </c>
      <c r="C19" s="15" t="s">
        <v>53</v>
      </c>
      <c r="D19" s="15">
        <v>542</v>
      </c>
      <c r="E19" s="15">
        <v>461</v>
      </c>
      <c r="G19" s="14" t="s">
        <v>39</v>
      </c>
      <c r="H19" s="14" t="s">
        <v>42</v>
      </c>
      <c r="I19" s="14"/>
    </row>
    <row r="20" spans="1:9" ht="12.75">
      <c r="A20" s="15"/>
      <c r="B20" s="15" t="s">
        <v>57</v>
      </c>
      <c r="C20" s="15" t="s">
        <v>56</v>
      </c>
      <c r="D20" s="15">
        <v>500</v>
      </c>
      <c r="E20" s="15">
        <v>431</v>
      </c>
      <c r="G20" s="14"/>
      <c r="H20" s="14" t="s">
        <v>68</v>
      </c>
      <c r="I20" s="14"/>
    </row>
    <row r="21" spans="1:5" ht="12.75">
      <c r="A21" s="15"/>
      <c r="B21" s="15" t="s">
        <v>58</v>
      </c>
      <c r="C21" s="15" t="s">
        <v>56</v>
      </c>
      <c r="D21" s="15">
        <v>466</v>
      </c>
      <c r="E21" s="15">
        <v>408</v>
      </c>
    </row>
    <row r="22" spans="1:5" ht="12.75">
      <c r="A22" s="15"/>
      <c r="B22" s="15" t="s">
        <v>59</v>
      </c>
      <c r="C22" s="15" t="s">
        <v>56</v>
      </c>
      <c r="D22" s="15">
        <v>442</v>
      </c>
      <c r="E22" s="15">
        <v>389</v>
      </c>
    </row>
    <row r="23" spans="1:5" ht="12.75">
      <c r="A23" s="15"/>
      <c r="B23" s="15" t="s">
        <v>60</v>
      </c>
      <c r="C23" s="15" t="s">
        <v>67</v>
      </c>
      <c r="D23" s="15">
        <v>423</v>
      </c>
      <c r="E23" s="15">
        <v>376</v>
      </c>
    </row>
    <row r="24" spans="1:5" ht="12.75">
      <c r="A24" s="15"/>
      <c r="B24" s="15" t="s">
        <v>61</v>
      </c>
      <c r="C24" s="15" t="s">
        <v>67</v>
      </c>
      <c r="D24" s="15">
        <v>379</v>
      </c>
      <c r="E24" s="15">
        <v>349</v>
      </c>
    </row>
  </sheetData>
  <sheetProtection/>
  <printOptions horizontalCentered="1" verticalCentered="1"/>
  <pageMargins left="0" right="0" top="0" bottom="0" header="0" footer="0"/>
  <pageSetup fitToHeight="1" fitToWidth="1" horizontalDpi="300" verticalDpi="300" orientation="landscape" paperSize="9" scale="98" r:id="rId2"/>
  <headerFooter alignWithMargins="0">
    <oddHeader>&amp;C&amp;"Times New Roman,Gras"&amp;14Perte financière en cas d'abandon des 6 derniers mois pour le calcul du salaire de référence pour la retraite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cp:lastPrinted>2010-03-08T13:24:52Z</cp:lastPrinted>
  <dcterms:created xsi:type="dcterms:W3CDTF">2010-03-08T09:56:08Z</dcterms:created>
  <dcterms:modified xsi:type="dcterms:W3CDTF">2010-04-06T16:16:44Z</dcterms:modified>
  <cp:category/>
  <cp:version/>
  <cp:contentType/>
  <cp:contentStatus/>
</cp:coreProperties>
</file>